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bilisBE\Documents\"/>
    </mc:Choice>
  </mc:AlternateContent>
  <bookViews>
    <workbookView xWindow="0" yWindow="0" windowWidth="28800" windowHeight="10800"/>
  </bookViews>
  <sheets>
    <sheet name="Átalányadózás" sheetId="2" r:id="rId1"/>
    <sheet name="Általános szabályok"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 l="1"/>
  <c r="C5" i="1" l="1"/>
  <c r="C32" i="1"/>
  <c r="B24" i="2"/>
  <c r="C7" i="1"/>
  <c r="C6" i="1"/>
  <c r="C7" i="2"/>
  <c r="C27" i="1" l="1"/>
  <c r="C21" i="1"/>
  <c r="D9" i="1" l="1"/>
  <c r="B20" i="2"/>
  <c r="B15" i="2" l="1"/>
  <c r="B21" i="2"/>
  <c r="B23" i="2"/>
  <c r="C26" i="1"/>
  <c r="B13" i="2" l="1"/>
  <c r="B12" i="2"/>
  <c r="B11" i="2"/>
  <c r="C28" i="1"/>
  <c r="C10" i="1" s="1"/>
  <c r="D10" i="1" l="1"/>
  <c r="B14" i="2" l="1"/>
  <c r="B16" i="2" s="1"/>
  <c r="B17" i="2" s="1"/>
  <c r="C17" i="1"/>
  <c r="C18" i="1"/>
  <c r="C29" i="1" s="1"/>
  <c r="C14" i="1"/>
  <c r="C15" i="1" l="1"/>
  <c r="C30" i="1" l="1"/>
  <c r="C31" i="1" s="1"/>
  <c r="C19" i="1" l="1"/>
  <c r="C16" i="1"/>
  <c r="C20" i="1" l="1"/>
  <c r="C22" i="1" s="1"/>
  <c r="C23" i="1" s="1"/>
</calcChain>
</file>

<file path=xl/sharedStrings.xml><?xml version="1.0" encoding="utf-8"?>
<sst xmlns="http://schemas.openxmlformats.org/spreadsheetml/2006/main" count="57" uniqueCount="48">
  <si>
    <t>nem</t>
  </si>
  <si>
    <t>Számított jövedelem (bevétel-átalányköltség)</t>
  </si>
  <si>
    <t>Adóterhek:</t>
  </si>
  <si>
    <t>Adóalapok:</t>
  </si>
  <si>
    <t>Átalányköltség (%)*</t>
  </si>
  <si>
    <t>Középfokú végzettséget, szakképzettséget igénylő tevékenységet végez?</t>
  </si>
  <si>
    <t>Számított jövedelem éves minimálbér felét meghaladó része</t>
  </si>
  <si>
    <t>Éves bevétel (Ft)</t>
  </si>
  <si>
    <t>Státusz</t>
  </si>
  <si>
    <t>főállású vállalkozó</t>
  </si>
  <si>
    <t>Tényleges költséghányad (kivét és szociális hozzájárulási adója nélkül)</t>
  </si>
  <si>
    <t>Szja</t>
  </si>
  <si>
    <t>Szocho</t>
  </si>
  <si>
    <t>Kivét után (15%)</t>
  </si>
  <si>
    <t>Osztalék után (15%)</t>
  </si>
  <si>
    <t>Eredmény után (9%)</t>
  </si>
  <si>
    <t>Osztalék után (13%)</t>
  </si>
  <si>
    <t>Költségekkel csökkentett bevétel</t>
  </si>
  <si>
    <t>Vállalkozói osztalékalap</t>
  </si>
  <si>
    <t>Osztalékalap utáni szocho alapja</t>
  </si>
  <si>
    <t>Egyéni vállalkozói adókalkulátor általános szabályok esetén</t>
  </si>
  <si>
    <t>Éves központi adó- és járulékteher összesen</t>
  </si>
  <si>
    <t>Éves adó- és járulékteher mindösszesen</t>
  </si>
  <si>
    <t>Elábé, anyagköltség és alvállalkozói teljesítések a bevétel arányában</t>
  </si>
  <si>
    <t>* Az osztalékalap utáni szociális hozzájárulási adót addig kell megfizetni, amíg az alábbi tételek összege eléri a havi minimálbér 24-szeresét: 
- az összevont adóalapba tartozó jövedelmek
- ösztöndíjas foglalkoztatási jogviszony alapján fizetett ösztöndíj és a munkavállalói érdekképviseletet ellátó szervezet részére levont (befizetett) tagdíj
- önálló és nem önálló tevékenységből származó, járulékalapot képző jövedelem
- vállalkozásból kivont jövedelem
- az értékpapír-kölcsönzésből származó jövedelem
- az osztalék, vállalkozói osztalékalap
- az árfolyamnyereségből származó jövedelem
- az Szja tv. 1/B. § hatálya alá tartozó természetes személy (külföldi illetőségű előadóművész) e tevékenységből származó jövedelme,</t>
  </si>
  <si>
    <t>Adókkal csökkentett bevétel</t>
  </si>
  <si>
    <r>
      <t>Személyi jövedelemadó</t>
    </r>
    <r>
      <rPr>
        <sz val="8"/>
        <color theme="1"/>
        <rFont val="Calibri"/>
        <family val="2"/>
        <charset val="238"/>
        <scheme val="minor"/>
      </rPr>
      <t xml:space="preserve"> (az adóköteles jövedelem 15%-a)</t>
    </r>
  </si>
  <si>
    <t>Adatok (a fehér cellákat töltse ki!):</t>
  </si>
  <si>
    <t>* A 80%-os költséghányad akkor választható, ha a vállalkozó az adóévben kizárólag az alábbi listán szereplő és kiskereskedelmi tevékenységből szerez bevételt:
- mezőgazdasági, erdőgazdálkodási (TESZOR 01, 02), bányászati (TESZOR 05-től 09-ig) és feldolgozóipari (TESZOR 10-től 32-ig) termék-előállítás, építőipari kivitelezés (TESZOR 41, 42)
- mezőgazdasági, betakarítást követő szolgáltatás (TESZOR 01.6), vadgazdálkodáshoz kapcsolódó szolgáltatás (TESZOR 01.70.10), erdészeti szolgáltatás (TESZOR 02.40.10) és zöldterület-kezelés (TESZOR 81.30.10)
- halászati szolgáltatás (TESZOR 03.00.71), halgazdálkodási szolgáltatás (TESZOR 03.00.72)
- feldolgozóipari szolgáltatás (TESZOR 10-től 32-ig) a bérmunkában végzett szolgáltatás és az egyéb sokszorosítás (TESZOR 18.20) kivételével
- építőipari szolgáltatás (TESZOR 43)
- ipari gép, berendezés, eszköz javítása (TESZOR 33.1), gépjárműjavítás (TESZOR 45.20), személyi, háztartási cikk javítása (TESZOR 95.2), épületgépészeti berendezések javítása (TESZOR 43.21, 43.22, 43.29)
- a taxis személyszállítás (TESZOR 49.32.11) személygépjármű kölcsönzése vezetővel (TESZOR 49.32.12), egyéb máshová nem sorolt szárazföldi személyszállítás (TESZOR 49.39.39), közúti áruszállítás (TESZOR 49.41.1)
- számítógép, kommunikációs eszköz javítása (TESZOR 95.1)
- fényképészet (TESZOR 74.20)
- textil, szőrme mosása, tisztítása (TESZOR 96.01), fodrászat, szépségápolás (TESZOR 96.02), hobbiállat-gondozás (TESZOR 96.09.11)
- a kereskedelmi tevékenységek végzésének feltételeiről szóló kormányrendelet alapján folytatott vendéglátó tevékenység (TESZOR 56)
A 90%-os költséghányad akkor választható, ha a vállalkozó az adóév egészében kizárólag a kereskedelmi tevékenységek végzésének feltételeiről szóló kormányrendelet alapján kiskereskedelmi tevékenységből szerez bevételt.</t>
  </si>
  <si>
    <t>Más forrásból származó, az osztalékalap utáni szocho maximális értékének számításakor figyelembe vett jövedelem (pl. bér, osztalék, árfolyamnyereség stb.)*</t>
  </si>
  <si>
    <t>Tb-járulék</t>
  </si>
  <si>
    <t>Kivét/minimum-járulékalap után (18,5%)</t>
  </si>
  <si>
    <t>Kivét/minimum-szochoalap után (13%)</t>
  </si>
  <si>
    <t>Minimum-járulékalap (éves minimálbér/garantált bérminimum)</t>
  </si>
  <si>
    <t>Minimum-szochoalap (éves minimálbér/garantált bérminimum 1,125-szöröse)</t>
  </si>
  <si>
    <t>Eredmény (kivét és szochója levonása után)</t>
  </si>
  <si>
    <r>
      <t xml:space="preserve">Társadalombiztosítási járulék </t>
    </r>
    <r>
      <rPr>
        <sz val="8"/>
        <rFont val="Calibri"/>
        <family val="2"/>
        <charset val="238"/>
        <scheme val="minor"/>
      </rPr>
      <t>(az adóköteles jövedelem, de főállású vállalkozónál minden hónapban legalább a minimum járulékalap 18,5%-a)</t>
    </r>
  </si>
  <si>
    <r>
      <t>Szociális hozzájárulási adó</t>
    </r>
    <r>
      <rPr>
        <sz val="8"/>
        <rFont val="Calibri"/>
        <family val="2"/>
        <charset val="238"/>
        <scheme val="minor"/>
      </rPr>
      <t xml:space="preserve"> (az adóköteles jövedelem, de főállású vállalkozónál minden hónapban legalább a minimum járulékalap 13%-a)</t>
    </r>
  </si>
  <si>
    <r>
      <t xml:space="preserve">Helyi iparűzési adó </t>
    </r>
    <r>
      <rPr>
        <sz val="8"/>
        <rFont val="Calibri"/>
        <family val="2"/>
        <charset val="238"/>
        <scheme val="minor"/>
      </rPr>
      <t>(egyszerűsített adóalap választása esetén,2% adókulcs mellett)</t>
    </r>
  </si>
  <si>
    <r>
      <t xml:space="preserve">Vállalkozói kivét </t>
    </r>
    <r>
      <rPr>
        <sz val="8"/>
        <rFont val="Calibri"/>
        <family val="2"/>
        <charset val="238"/>
        <scheme val="minor"/>
      </rPr>
      <t>(döntés szerint módosítható; a kezdeti képlet a kedvezmények figyelembevétele nélkül legkisebb adókötelezettséget - de nem a legnagyobb ellátási alapot! - eredményező összeget tartalmazza)</t>
    </r>
  </si>
  <si>
    <r>
      <t>Helyi iparűzési adó</t>
    </r>
    <r>
      <rPr>
        <sz val="8"/>
        <rFont val="Calibri"/>
        <family val="2"/>
        <charset val="238"/>
        <scheme val="minor"/>
      </rPr>
      <t xml:space="preserve"> (2%-os adókulcs mellett)</t>
    </r>
  </si>
  <si>
    <t>Átalányadó-kalkulátor</t>
  </si>
  <si>
    <r>
      <t xml:space="preserve">Egyszerűsített helyi iparűzési adó alapja </t>
    </r>
    <r>
      <rPr>
        <sz val="8"/>
        <color theme="1"/>
        <rFont val="Calibri"/>
        <family val="2"/>
        <charset val="238"/>
        <scheme val="minor"/>
      </rPr>
      <t>(25 millió Ft feletti - 90%-os költséghányad esetén 120 millió Ft feletti - bevétel esetén az "Általános szabályok" fülön megadott elábé, anyagköltség és alvállalkozói teljesítések arány alapján!)</t>
    </r>
  </si>
  <si>
    <r>
      <t>Egyszerűsített helyi iparűzési adó alapja</t>
    </r>
    <r>
      <rPr>
        <sz val="8"/>
        <rFont val="Calibri"/>
        <family val="2"/>
        <charset val="238"/>
        <scheme val="minor"/>
      </rPr>
      <t xml:space="preserve"> (25 millió Ft felett normál hipa alap a megadott elábé, anyagköltség és alvállalkozói teljesítések arány alapján)</t>
    </r>
  </si>
  <si>
    <t>A kalkulátor egyszerűsítő feltételezésekkel - például havonta azonos összegű jövedelemszerzés - él, az adatok tájékoztató jellegűek. A kalkulátor egy teljes évre vonatkozó adatokat számol, a 2023-ban érvényes adókulcsok és minimálbér mellett. A kalkulátor nem számol az összevont adóalapba tartozó átalányban megállapított jövedelemre, illetve vállalkozói kivétre érvényesíthető kedvezményekkel (négy vagy több gyermeket nevelő anyák kedvezménye, 25 év alatti fiatalok kedvezménye, 30 év alatti anyák kedvezménye, személyi kedvezmény, első házasok kedvezménye, családi kedvezmény), ugyanakkor az átalányadózással kapcsolatos számítások elvégzésekor az átalányban megállapított jövedelem adómentes részét figyelembe veszi.</t>
  </si>
  <si>
    <t>A kalkulátor egyszerűsítő feltételezésekkel él - például havonta azonos összegű jövedelemszerzés - az adatok tájékoztató jellegűek. A kalkulátor egy teljes évre vonatkozó adatokat számol, a 2023-ban érvényes adókulcsok és minimálbér mellett. A kalkulátor nem számol az összevont adóalapba tartozó átalányban megállapított jövedelemre, illetve vállalkozói kivétre érvényesíthető kedvezményekkel (négy vagy több gyermeket nevelő anyák kedvezménye, 25 év alatti fiatalok kedvezménye, 30 év alatti anyák kedvezménye, személyi kedvezmény, első házasok kedvezménye, családi kedvezmény). Emellett nem veszi figyelembe a vállalakozói szja-t csökkentő kedvezményeket és az osztalékadó alapját csökkentő esetleges módosító tételeket sem.</t>
  </si>
  <si>
    <t>Minimum járulékalap 12 hónapra (éves minimálbér/garantált bérminimum)</t>
  </si>
  <si>
    <t>Minimum szochoalap 12 hónapra (éves minimálbér/garantált bérminimum 1,125-szöröse)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</si>
</sst>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u/>
      <sz val="11"/>
      <color theme="1"/>
      <name val="Calibri"/>
      <family val="2"/>
      <charset val="238"/>
      <scheme val="minor"/>
    </font>
    <font>
      <i/>
      <sz val="8"/>
      <color theme="1"/>
      <name val="Calibri"/>
      <family val="2"/>
      <charset val="238"/>
      <scheme val="minor"/>
    </font>
    <font>
      <sz val="8"/>
      <color theme="1"/>
      <name val="Calibri"/>
      <family val="2"/>
      <charset val="238"/>
      <scheme val="minor"/>
    </font>
    <font>
      <b/>
      <sz val="11"/>
      <name val="Calibri"/>
      <family val="2"/>
      <charset val="238"/>
      <scheme val="minor"/>
    </font>
    <font>
      <sz val="9"/>
      <name val="Calibri"/>
      <family val="2"/>
      <charset val="238"/>
      <scheme val="minor"/>
    </font>
    <font>
      <sz val="11"/>
      <name val="Calibri"/>
      <family val="2"/>
      <charset val="238"/>
      <scheme val="minor"/>
    </font>
    <font>
      <sz val="8"/>
      <name val="Calibri"/>
      <family val="2"/>
      <charset val="238"/>
      <scheme val="minor"/>
    </font>
    <font>
      <b/>
      <u/>
      <sz val="11"/>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3" borderId="0" xfId="0" applyFill="1"/>
    <xf numFmtId="0" fontId="1" fillId="3" borderId="0" xfId="0" applyFont="1" applyFill="1"/>
    <xf numFmtId="0" fontId="0" fillId="2" borderId="1" xfId="0" applyFill="1" applyBorder="1" applyAlignment="1" applyProtection="1">
      <alignment horizontal="right"/>
      <protection locked="0"/>
    </xf>
    <xf numFmtId="3" fontId="0" fillId="2" borderId="1" xfId="0" applyNumberFormat="1" applyFill="1" applyBorder="1" applyProtection="1">
      <protection locked="0"/>
    </xf>
    <xf numFmtId="9" fontId="0" fillId="2" borderId="1" xfId="0" applyNumberFormat="1" applyFill="1" applyBorder="1" applyProtection="1">
      <protection locked="0"/>
    </xf>
    <xf numFmtId="0" fontId="0" fillId="4" borderId="0" xfId="0" applyFill="1"/>
    <xf numFmtId="0" fontId="0" fillId="4" borderId="0" xfId="0" applyFill="1" applyAlignment="1"/>
    <xf numFmtId="0" fontId="3" fillId="4" borderId="0" xfId="0" applyFont="1" applyFill="1"/>
    <xf numFmtId="0" fontId="0" fillId="4" borderId="1" xfId="0" applyFill="1" applyBorder="1"/>
    <xf numFmtId="3" fontId="0" fillId="4" borderId="1" xfId="0" applyNumberFormat="1" applyFill="1" applyBorder="1"/>
    <xf numFmtId="0" fontId="0" fillId="4" borderId="0" xfId="0" applyFill="1" applyBorder="1"/>
    <xf numFmtId="3" fontId="0" fillId="4" borderId="0" xfId="0" applyNumberFormat="1" applyFill="1" applyBorder="1"/>
    <xf numFmtId="0" fontId="8" fillId="4" borderId="1" xfId="0" applyFont="1" applyFill="1" applyBorder="1" applyAlignment="1">
      <alignment wrapText="1"/>
    </xf>
    <xf numFmtId="0" fontId="6" fillId="4" borderId="1" xfId="0" applyFont="1" applyFill="1" applyBorder="1"/>
    <xf numFmtId="0" fontId="8" fillId="4" borderId="1" xfId="0" applyFont="1" applyFill="1" applyBorder="1"/>
    <xf numFmtId="0" fontId="8" fillId="4" borderId="0" xfId="0" applyFont="1" applyFill="1"/>
    <xf numFmtId="0" fontId="10" fillId="4" borderId="0" xfId="0" applyFont="1" applyFill="1"/>
    <xf numFmtId="3" fontId="8" fillId="4" borderId="1" xfId="0" applyNumberFormat="1" applyFont="1" applyFill="1" applyBorder="1"/>
    <xf numFmtId="3" fontId="6" fillId="4" borderId="1" xfId="0" applyNumberFormat="1" applyFont="1" applyFill="1" applyBorder="1"/>
    <xf numFmtId="0" fontId="8" fillId="4" borderId="0" xfId="0" applyFont="1" applyFill="1" applyAlignment="1"/>
    <xf numFmtId="0" fontId="8" fillId="2" borderId="1" xfId="0" applyFont="1" applyFill="1" applyBorder="1" applyAlignment="1" applyProtection="1">
      <alignment horizontal="right"/>
      <protection locked="0"/>
    </xf>
    <xf numFmtId="3" fontId="8" fillId="2" borderId="1" xfId="0" applyNumberFormat="1" applyFont="1" applyFill="1" applyBorder="1" applyProtection="1">
      <protection locked="0"/>
    </xf>
    <xf numFmtId="9" fontId="8" fillId="2" borderId="1" xfId="0" applyNumberFormat="1" applyFont="1" applyFill="1" applyBorder="1" applyProtection="1">
      <protection locked="0"/>
    </xf>
    <xf numFmtId="0" fontId="8" fillId="2" borderId="1" xfId="0" applyFont="1" applyFill="1" applyBorder="1" applyProtection="1">
      <protection locked="0"/>
    </xf>
    <xf numFmtId="0" fontId="8" fillId="4" borderId="1" xfId="0" applyFont="1" applyFill="1" applyBorder="1" applyAlignment="1">
      <alignment vertical="top"/>
    </xf>
    <xf numFmtId="0" fontId="8" fillId="4" borderId="1" xfId="0" applyFont="1" applyFill="1" applyBorder="1" applyAlignment="1">
      <alignment wrapText="1"/>
    </xf>
    <xf numFmtId="0" fontId="4" fillId="4" borderId="0" xfId="0" applyFont="1" applyFill="1" applyAlignment="1">
      <alignment vertical="top" wrapText="1"/>
    </xf>
    <xf numFmtId="0" fontId="4" fillId="4" borderId="0" xfId="0" applyFont="1" applyFill="1" applyAlignment="1">
      <alignment vertical="top"/>
    </xf>
    <xf numFmtId="0" fontId="6" fillId="5" borderId="0" xfId="0" applyFont="1" applyFill="1" applyAlignment="1">
      <alignment horizontal="center"/>
    </xf>
    <xf numFmtId="0" fontId="7" fillId="4" borderId="0" xfId="0" applyFont="1" applyFill="1" applyAlignment="1">
      <alignment vertical="top" wrapText="1"/>
    </xf>
    <xf numFmtId="0" fontId="8" fillId="4" borderId="1" xfId="0" applyFont="1" applyFill="1" applyBorder="1" applyAlignment="1"/>
    <xf numFmtId="0" fontId="11" fillId="4" borderId="0" xfId="0" applyFont="1" applyFill="1" applyAlignment="1">
      <alignment vertical="top" wrapText="1"/>
    </xf>
    <xf numFmtId="0" fontId="11" fillId="4" borderId="0" xfId="0" applyFont="1" applyFill="1" applyAlignment="1">
      <alignment vertical="top"/>
    </xf>
    <xf numFmtId="0" fontId="8" fillId="4" borderId="0" xfId="0" applyFont="1" applyFill="1" applyAlignment="1">
      <alignment vertical="top"/>
    </xf>
    <xf numFmtId="0" fontId="8" fillId="4" borderId="1" xfId="0" applyFont="1" applyFill="1" applyBorder="1" applyAlignment="1">
      <alignment wrapText="1"/>
    </xf>
    <xf numFmtId="0" fontId="10" fillId="4" borderId="0" xfId="0" applyFont="1" applyFill="1" applyAlignment="1"/>
    <xf numFmtId="0" fontId="8" fillId="4" borderId="0" xfId="0" applyFont="1" applyFill="1" applyAlignment="1"/>
    <xf numFmtId="0" fontId="2" fillId="5" borderId="0" xfId="0" applyFont="1" applyFill="1" applyAlignment="1">
      <alignment horizontal="center"/>
    </xf>
    <xf numFmtId="0" fontId="0" fillId="5" borderId="0" xfId="0" applyFill="1" applyAlignment="1">
      <alignment horizontal="center"/>
    </xf>
    <xf numFmtId="0" fontId="8" fillId="4" borderId="1" xfId="0" applyFont="1" applyFill="1" applyBorder="1" applyAlignment="1">
      <alignment vertical="top"/>
    </xf>
    <xf numFmtId="0" fontId="8" fillId="4" borderId="0" xfId="0" applyFont="1" applyFill="1" applyAlignment="1">
      <alignment vertical="top" wrapText="1"/>
    </xf>
    <xf numFmtId="0" fontId="8" fillId="4" borderId="1" xfId="0" applyFont="1" applyFill="1" applyBorder="1" applyAlignment="1">
      <alignment vertical="top" wrapText="1"/>
    </xf>
    <xf numFmtId="0" fontId="6" fillId="4" borderId="1" xfId="0" applyFont="1" applyFill="1" applyBorder="1" applyAlignment="1"/>
    <xf numFmtId="0" fontId="6" fillId="4" borderId="2" xfId="0" applyFont="1" applyFill="1" applyBorder="1" applyAlignment="1"/>
    <xf numFmtId="0" fontId="8" fillId="0" borderId="3" xfId="0" applyFont="1" applyBorder="1" applyAlignment="1"/>
    <xf numFmtId="0" fontId="6" fillId="4" borderId="3" xfId="0" applyFont="1" applyFill="1" applyBorder="1" applyAlignment="1"/>
    <xf numFmtId="0" fontId="8" fillId="4" borderId="2" xfId="0" applyFont="1" applyFill="1" applyBorder="1" applyAlignment="1"/>
    <xf numFmtId="0" fontId="8" fillId="4" borderId="3" xfId="0" applyFont="1" applyFill="1" applyBorder="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B5" sqref="B5"/>
    </sheetView>
  </sheetViews>
  <sheetFormatPr defaultColWidth="9.140625" defaultRowHeight="15" x14ac:dyDescent="0.25"/>
  <cols>
    <col min="1" max="1" width="86.7109375" style="6" bestFit="1" customWidth="1"/>
    <col min="2" max="2" width="41.42578125" style="6" bestFit="1" customWidth="1"/>
    <col min="3" max="16384" width="9.140625" style="1"/>
  </cols>
  <sheetData>
    <row r="1" spans="1:3" x14ac:dyDescent="0.25">
      <c r="A1" s="29" t="s">
        <v>41</v>
      </c>
      <c r="B1" s="29"/>
    </row>
    <row r="2" spans="1:3" ht="69" customHeight="1" x14ac:dyDescent="0.25">
      <c r="A2" s="30" t="s">
        <v>44</v>
      </c>
      <c r="B2" s="30"/>
    </row>
    <row r="3" spans="1:3" x14ac:dyDescent="0.25">
      <c r="A3" s="7"/>
      <c r="B3" s="7"/>
    </row>
    <row r="4" spans="1:3" x14ac:dyDescent="0.25">
      <c r="A4" s="8" t="s">
        <v>27</v>
      </c>
    </row>
    <row r="5" spans="1:3" x14ac:dyDescent="0.25">
      <c r="A5" s="9" t="s">
        <v>8</v>
      </c>
      <c r="B5" s="3" t="s">
        <v>9</v>
      </c>
    </row>
    <row r="6" spans="1:3" x14ac:dyDescent="0.25">
      <c r="A6" s="9" t="s">
        <v>5</v>
      </c>
      <c r="B6" s="3" t="s">
        <v>0</v>
      </c>
    </row>
    <row r="7" spans="1:3" x14ac:dyDescent="0.25">
      <c r="A7" s="9" t="s">
        <v>7</v>
      </c>
      <c r="B7" s="4">
        <v>7500000</v>
      </c>
      <c r="C7" s="2" t="str">
        <f>IF(B7&gt;232000*120, "Figyelem! Az átalányadózás csak az éves minimálbér tízszereséig (kizárólag kiskereskedelmi tevékenység esetén annak ötvenszereséig) választható!", "")</f>
        <v/>
      </c>
    </row>
    <row r="8" spans="1:3" x14ac:dyDescent="0.25">
      <c r="A8" s="9" t="s">
        <v>4</v>
      </c>
      <c r="B8" s="5">
        <v>0.4</v>
      </c>
    </row>
    <row r="10" spans="1:3" x14ac:dyDescent="0.25">
      <c r="A10" s="8" t="s">
        <v>2</v>
      </c>
    </row>
    <row r="11" spans="1:3" x14ac:dyDescent="0.25">
      <c r="A11" s="9" t="s">
        <v>26</v>
      </c>
      <c r="B11" s="10">
        <f>B21*0.15</f>
        <v>466200</v>
      </c>
    </row>
    <row r="12" spans="1:3" ht="27" x14ac:dyDescent="0.25">
      <c r="A12" s="13" t="s">
        <v>36</v>
      </c>
      <c r="B12" s="18">
        <f>IF(B5="nyugdíjas", 0, MAX(B21,B22)*0.185)</f>
        <v>574980</v>
      </c>
    </row>
    <row r="13" spans="1:3" ht="27" x14ac:dyDescent="0.25">
      <c r="A13" s="13" t="s">
        <v>37</v>
      </c>
      <c r="B13" s="18">
        <f>IF(B5="nyugdíjas", 0, MAX(B21,B23)*0.13)</f>
        <v>407160</v>
      </c>
    </row>
    <row r="14" spans="1:3" x14ac:dyDescent="0.25">
      <c r="A14" s="14" t="s">
        <v>21</v>
      </c>
      <c r="B14" s="19">
        <f>SUM(B11:B13)</f>
        <v>1448340</v>
      </c>
    </row>
    <row r="15" spans="1:3" x14ac:dyDescent="0.25">
      <c r="A15" s="15" t="s">
        <v>38</v>
      </c>
      <c r="B15" s="18">
        <f>B24*0.02</f>
        <v>50000</v>
      </c>
    </row>
    <row r="16" spans="1:3" x14ac:dyDescent="0.25">
      <c r="A16" s="14" t="s">
        <v>22</v>
      </c>
      <c r="B16" s="19">
        <f>B14+B15</f>
        <v>1498340</v>
      </c>
    </row>
    <row r="17" spans="1:2" x14ac:dyDescent="0.25">
      <c r="A17" s="14" t="s">
        <v>25</v>
      </c>
      <c r="B17" s="19">
        <f>B7-B16</f>
        <v>6001660</v>
      </c>
    </row>
    <row r="18" spans="1:2" x14ac:dyDescent="0.25">
      <c r="A18" s="16"/>
      <c r="B18" s="16"/>
    </row>
    <row r="19" spans="1:2" x14ac:dyDescent="0.25">
      <c r="A19" s="17" t="s">
        <v>3</v>
      </c>
      <c r="B19" s="16"/>
    </row>
    <row r="20" spans="1:2" x14ac:dyDescent="0.25">
      <c r="A20" s="15" t="s">
        <v>1</v>
      </c>
      <c r="B20" s="18">
        <f>B7*(1-B8)</f>
        <v>4500000</v>
      </c>
    </row>
    <row r="21" spans="1:2" x14ac:dyDescent="0.25">
      <c r="A21" s="15" t="s">
        <v>6</v>
      </c>
      <c r="B21" s="18">
        <f>MAX(0, B20-232000*6)</f>
        <v>3108000</v>
      </c>
    </row>
    <row r="22" spans="1:2" x14ac:dyDescent="0.25">
      <c r="A22" s="15" t="s">
        <v>46</v>
      </c>
      <c r="B22" s="10">
        <f>IF(B5="főállású vállalkozó", IF(B6="igen", 296400*12, 232000*12), 0)</f>
        <v>2784000</v>
      </c>
    </row>
    <row r="23" spans="1:2" x14ac:dyDescent="0.25">
      <c r="A23" s="9" t="s">
        <v>47</v>
      </c>
      <c r="B23" s="10">
        <f>B22*1.125</f>
        <v>3132000</v>
      </c>
    </row>
    <row r="24" spans="1:2" ht="30" customHeight="1" x14ac:dyDescent="0.25">
      <c r="A24" s="26" t="s">
        <v>42</v>
      </c>
      <c r="B24" s="10">
        <f>IF(B7&lt;=12000000,2500000,IF(B7&lt;=18000000,6000000,IF(OR(B7&lt;=25000000,AND(B7&lt;=120000000,B8=90%)),8500000,MAX(0,B7*(1-'Általános szabályok'!C9)))))</f>
        <v>2500000</v>
      </c>
    </row>
    <row r="25" spans="1:2" x14ac:dyDescent="0.25">
      <c r="A25" s="11"/>
      <c r="B25" s="12"/>
    </row>
    <row r="27" spans="1:2" ht="274.5" customHeight="1" x14ac:dyDescent="0.25">
      <c r="A27" s="27" t="s">
        <v>28</v>
      </c>
      <c r="B27" s="28"/>
    </row>
  </sheetData>
  <sheetProtection algorithmName="SHA-512" hashValue="N1iJntEMOGbDOcWPtqlyO/oLUgF4niDrj5s8G1YmgqOjdVy29E81N28A3p5HX0djWphZw9ug7MYD+nU4o2YNXA==" saltValue="NG2lzvtBZC+xbf6InPbYEQ==" spinCount="100000" sheet="1" selectLockedCells="1"/>
  <protectedRanges>
    <protectedRange algorithmName="SHA-512" hashValue="9AiRHmv0CAQP7WvpfploNsFEsvio4VFkHq0kXSB7Vwi8xCucA90zhcbV2cL3x3vwlO5L2mHEwJl+FI6WcGLnBA==" saltValue="XNDze7pwlAjCQrDYc3h5sg==" spinCount="100000" sqref="B9:B16 A1:XFD5 A6:A10 A14:A16 A22:B1048576 A17:B21 C6:XFD1048576" name="Tartomány1"/>
    <protectedRange algorithmName="SHA-512" hashValue="9AiRHmv0CAQP7WvpfploNsFEsvio4VFkHq0kXSB7Vwi8xCucA90zhcbV2cL3x3vwlO5L2mHEwJl+FI6WcGLnBA==" saltValue="XNDze7pwlAjCQrDYc3h5sg==" spinCount="100000" sqref="A11:A13" name="Tartomány1_1"/>
  </protectedRanges>
  <mergeCells count="3">
    <mergeCell ref="A27:B27"/>
    <mergeCell ref="A1:B1"/>
    <mergeCell ref="A2:B2"/>
  </mergeCells>
  <dataValidations count="3">
    <dataValidation type="list" allowBlank="1" showInputMessage="1" showErrorMessage="1" sqref="B6">
      <formula1>"igen, nem"</formula1>
    </dataValidation>
    <dataValidation type="list" allowBlank="1" showInputMessage="1" showErrorMessage="1" sqref="B5">
      <formula1>"főállású vállalkozó, 36 órás munkaviszony / tanulmányok mellett, nyugdíjas"</formula1>
    </dataValidation>
    <dataValidation type="list" allowBlank="1" showInputMessage="1" showErrorMessage="1" sqref="B8">
      <formula1>"40%, 80%, 90%"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C5" sqref="C5"/>
    </sheetView>
  </sheetViews>
  <sheetFormatPr defaultColWidth="9.140625" defaultRowHeight="15" x14ac:dyDescent="0.25"/>
  <cols>
    <col min="1" max="1" width="24" style="6" customWidth="1"/>
    <col min="2" max="2" width="51.28515625" style="6" customWidth="1"/>
    <col min="3" max="3" width="41.42578125" style="6" bestFit="1" customWidth="1"/>
    <col min="4" max="16384" width="9.140625" style="1"/>
  </cols>
  <sheetData>
    <row r="1" spans="1:4" x14ac:dyDescent="0.25">
      <c r="A1" s="38" t="s">
        <v>20</v>
      </c>
      <c r="B1" s="39"/>
      <c r="C1" s="39"/>
    </row>
    <row r="2" spans="1:4" ht="75" customHeight="1" x14ac:dyDescent="0.25">
      <c r="A2" s="30" t="s">
        <v>45</v>
      </c>
      <c r="B2" s="41"/>
      <c r="C2" s="41"/>
    </row>
    <row r="3" spans="1:4" x14ac:dyDescent="0.25">
      <c r="A3" s="16"/>
      <c r="B3" s="20"/>
      <c r="C3" s="20"/>
    </row>
    <row r="4" spans="1:4" x14ac:dyDescent="0.25">
      <c r="A4" s="36" t="s">
        <v>27</v>
      </c>
      <c r="B4" s="37"/>
      <c r="C4" s="16"/>
    </row>
    <row r="5" spans="1:4" x14ac:dyDescent="0.25">
      <c r="A5" s="40" t="s">
        <v>8</v>
      </c>
      <c r="B5" s="40"/>
      <c r="C5" s="21" t="str">
        <f>Átalányadózás!B5</f>
        <v>főállású vállalkozó</v>
      </c>
    </row>
    <row r="6" spans="1:4" x14ac:dyDescent="0.25">
      <c r="A6" s="40" t="s">
        <v>5</v>
      </c>
      <c r="B6" s="40"/>
      <c r="C6" s="21" t="str">
        <f>Átalányadózás!B6</f>
        <v>nem</v>
      </c>
    </row>
    <row r="7" spans="1:4" x14ac:dyDescent="0.25">
      <c r="A7" s="40" t="s">
        <v>7</v>
      </c>
      <c r="B7" s="40"/>
      <c r="C7" s="22">
        <f>Átalányadózás!B7</f>
        <v>7500000</v>
      </c>
      <c r="D7" s="2"/>
    </row>
    <row r="8" spans="1:4" x14ac:dyDescent="0.25">
      <c r="A8" s="40" t="s">
        <v>10</v>
      </c>
      <c r="B8" s="40"/>
      <c r="C8" s="23">
        <v>0.4</v>
      </c>
    </row>
    <row r="9" spans="1:4" x14ac:dyDescent="0.25">
      <c r="A9" s="40" t="s">
        <v>23</v>
      </c>
      <c r="B9" s="40"/>
      <c r="C9" s="23">
        <v>0.3</v>
      </c>
      <c r="D9" s="2" t="str">
        <f>IF(C9&gt;C8, "A sor értéke nem haladhatja meg az előző sor (tényleges költséghányad) értékét!","")</f>
        <v/>
      </c>
    </row>
    <row r="10" spans="1:4" ht="30" customHeight="1" x14ac:dyDescent="0.25">
      <c r="A10" s="42" t="s">
        <v>39</v>
      </c>
      <c r="B10" s="42"/>
      <c r="C10" s="22">
        <f>IF(C5="nyugdíjas", MAX(0,C26), MAX(0,MIN(C28,C26-C28*0.13)))</f>
        <v>3132000</v>
      </c>
      <c r="D10" s="2" t="str">
        <f>IF(AND(C10&gt;C26-C28*0.13,C10&lt;&gt;0),"A kivét nem eredményezhet negatív eredményt!","")</f>
        <v/>
      </c>
    </row>
    <row r="11" spans="1:4" ht="30" customHeight="1" x14ac:dyDescent="0.25">
      <c r="A11" s="42" t="s">
        <v>29</v>
      </c>
      <c r="B11" s="42"/>
      <c r="C11" s="24">
        <v>0</v>
      </c>
    </row>
    <row r="12" spans="1:4" x14ac:dyDescent="0.25">
      <c r="A12" s="16"/>
      <c r="B12" s="16"/>
      <c r="C12" s="16"/>
    </row>
    <row r="13" spans="1:4" x14ac:dyDescent="0.25">
      <c r="A13" s="36" t="s">
        <v>2</v>
      </c>
      <c r="B13" s="37"/>
      <c r="C13" s="16"/>
    </row>
    <row r="14" spans="1:4" x14ac:dyDescent="0.25">
      <c r="A14" s="40" t="s">
        <v>11</v>
      </c>
      <c r="B14" s="15" t="s">
        <v>13</v>
      </c>
      <c r="C14" s="18">
        <f>C10*0.15</f>
        <v>469800</v>
      </c>
    </row>
    <row r="15" spans="1:4" x14ac:dyDescent="0.25">
      <c r="A15" s="40"/>
      <c r="B15" s="15" t="s">
        <v>15</v>
      </c>
      <c r="C15" s="18">
        <f>MAX(C29*0.09,0)</f>
        <v>86475.599999999991</v>
      </c>
    </row>
    <row r="16" spans="1:4" x14ac:dyDescent="0.25">
      <c r="A16" s="40"/>
      <c r="B16" s="15" t="s">
        <v>14</v>
      </c>
      <c r="C16" s="18">
        <f>C30*0.15</f>
        <v>131154.66</v>
      </c>
    </row>
    <row r="17" spans="1:3" x14ac:dyDescent="0.25">
      <c r="A17" s="25" t="s">
        <v>30</v>
      </c>
      <c r="B17" s="15" t="s">
        <v>31</v>
      </c>
      <c r="C17" s="18">
        <f>IF(C5="nyugdíjas", 0, MAX(C10,C27)*0.185)</f>
        <v>579420</v>
      </c>
    </row>
    <row r="18" spans="1:3" x14ac:dyDescent="0.25">
      <c r="A18" s="40" t="s">
        <v>12</v>
      </c>
      <c r="B18" s="15" t="s">
        <v>32</v>
      </c>
      <c r="C18" s="18">
        <f>IF(C5="nyugdíjas", 0, MAX(C10,C28)*0.13)</f>
        <v>407160</v>
      </c>
    </row>
    <row r="19" spans="1:3" x14ac:dyDescent="0.25">
      <c r="A19" s="40"/>
      <c r="B19" s="15" t="s">
        <v>16</v>
      </c>
      <c r="C19" s="18">
        <f>C31*0.13</f>
        <v>113667.372</v>
      </c>
    </row>
    <row r="20" spans="1:3" x14ac:dyDescent="0.25">
      <c r="A20" s="43" t="s">
        <v>21</v>
      </c>
      <c r="B20" s="31"/>
      <c r="C20" s="19">
        <f>SUM(C14:C19)</f>
        <v>1787677.632</v>
      </c>
    </row>
    <row r="21" spans="1:3" x14ac:dyDescent="0.25">
      <c r="A21" s="47" t="s">
        <v>40</v>
      </c>
      <c r="B21" s="48"/>
      <c r="C21" s="18">
        <f>C32*0.02</f>
        <v>50000</v>
      </c>
    </row>
    <row r="22" spans="1:3" x14ac:dyDescent="0.25">
      <c r="A22" s="44" t="s">
        <v>22</v>
      </c>
      <c r="B22" s="46"/>
      <c r="C22" s="19">
        <f>C20+C21</f>
        <v>1837677.632</v>
      </c>
    </row>
    <row r="23" spans="1:3" x14ac:dyDescent="0.25">
      <c r="A23" s="44" t="s">
        <v>25</v>
      </c>
      <c r="B23" s="45"/>
      <c r="C23" s="19">
        <f>C7-C22</f>
        <v>5662322.3679999998</v>
      </c>
    </row>
    <row r="24" spans="1:3" x14ac:dyDescent="0.25">
      <c r="A24" s="16"/>
      <c r="B24" s="16"/>
      <c r="C24" s="16"/>
    </row>
    <row r="25" spans="1:3" x14ac:dyDescent="0.25">
      <c r="A25" s="36" t="s">
        <v>3</v>
      </c>
      <c r="B25" s="37"/>
      <c r="C25" s="16"/>
    </row>
    <row r="26" spans="1:3" x14ac:dyDescent="0.25">
      <c r="A26" s="31" t="s">
        <v>17</v>
      </c>
      <c r="B26" s="31"/>
      <c r="C26" s="18">
        <f>C7*(1-C8)</f>
        <v>4500000</v>
      </c>
    </row>
    <row r="27" spans="1:3" x14ac:dyDescent="0.25">
      <c r="A27" s="31" t="s">
        <v>33</v>
      </c>
      <c r="B27" s="31"/>
      <c r="C27" s="18">
        <f>IF(C5="főállású vállalkozó", IF(C6="igen", 296400*12, 232000*12), 0)</f>
        <v>2784000</v>
      </c>
    </row>
    <row r="28" spans="1:3" x14ac:dyDescent="0.25">
      <c r="A28" s="31" t="s">
        <v>34</v>
      </c>
      <c r="B28" s="31"/>
      <c r="C28" s="18">
        <f>C27*1.125</f>
        <v>3132000</v>
      </c>
    </row>
    <row r="29" spans="1:3" x14ac:dyDescent="0.25">
      <c r="A29" s="31" t="s">
        <v>35</v>
      </c>
      <c r="B29" s="31"/>
      <c r="C29" s="18">
        <f>C26-C10-C18</f>
        <v>960840</v>
      </c>
    </row>
    <row r="30" spans="1:3" x14ac:dyDescent="0.25">
      <c r="A30" s="31" t="s">
        <v>18</v>
      </c>
      <c r="B30" s="31"/>
      <c r="C30" s="18">
        <f>MAX(0,C29-C15)</f>
        <v>874364.4</v>
      </c>
    </row>
    <row r="31" spans="1:3" x14ac:dyDescent="0.25">
      <c r="A31" s="31" t="s">
        <v>19</v>
      </c>
      <c r="B31" s="31"/>
      <c r="C31" s="18">
        <f>MAX(0, MIN(C30,232000*24-C10-C11))</f>
        <v>874364.4</v>
      </c>
    </row>
    <row r="32" spans="1:3" ht="30" customHeight="1" x14ac:dyDescent="0.25">
      <c r="A32" s="35" t="s">
        <v>43</v>
      </c>
      <c r="B32" s="35"/>
      <c r="C32" s="18">
        <f>IF(B7&lt;=12000000,2500000,IF(B7&lt;=18000000,6000000,IF(B7&lt;=25000000,8500000,MAX(0,B7*(1-C9)))))</f>
        <v>2500000</v>
      </c>
    </row>
    <row r="33" spans="1:3" x14ac:dyDescent="0.25">
      <c r="A33" s="16"/>
      <c r="B33" s="16"/>
      <c r="C33" s="16"/>
    </row>
    <row r="34" spans="1:3" ht="119.25" customHeight="1" x14ac:dyDescent="0.25">
      <c r="A34" s="32" t="s">
        <v>24</v>
      </c>
      <c r="B34" s="33"/>
      <c r="C34" s="34"/>
    </row>
  </sheetData>
  <sheetProtection algorithmName="SHA-512" hashValue="jFClrl5L3MLEzbGKX8U7V1AZM+QmpM/XIkQTq3F8OQ2Xu2FJfCNNza+KfWu1YLXI4DW4vrfTShHU54ToR9Fe2w==" saltValue="6X0xHvPtUX2OnNEnrk1ZCw==" spinCount="100000" sheet="1" selectLockedCells="1"/>
  <protectedRanges>
    <protectedRange algorithmName="SHA-512" hashValue="9AiRHmv0CAQP7WvpfploNsFEsvio4VFkHq0kXSB7Vwi8xCucA90zhcbV2cL3x3vwlO5L2mHEwJl+FI6WcGLnBA==" saltValue="XNDze7pwlAjCQrDYc3h5sg==" spinCount="100000" sqref="C1:C5 A13 A1:A2 B3 B12 B29:B1048576 B24 B14:B19 A25:A28 D1:XFD7 A4:A11 A20:A23 C8:XFD1048576" name="Tartomány1"/>
  </protectedRanges>
  <mergeCells count="26">
    <mergeCell ref="A7:B7"/>
    <mergeCell ref="A8:B8"/>
    <mergeCell ref="A10:B10"/>
    <mergeCell ref="A11:B11"/>
    <mergeCell ref="A25:B25"/>
    <mergeCell ref="A9:B9"/>
    <mergeCell ref="A14:A16"/>
    <mergeCell ref="A18:A19"/>
    <mergeCell ref="A20:B20"/>
    <mergeCell ref="A13:B13"/>
    <mergeCell ref="A23:B23"/>
    <mergeCell ref="A22:B22"/>
    <mergeCell ref="A21:B21"/>
    <mergeCell ref="A4:B4"/>
    <mergeCell ref="A1:C1"/>
    <mergeCell ref="A5:B5"/>
    <mergeCell ref="A6:B6"/>
    <mergeCell ref="A2:C2"/>
    <mergeCell ref="A29:B29"/>
    <mergeCell ref="A31:B31"/>
    <mergeCell ref="A34:C34"/>
    <mergeCell ref="A32:B32"/>
    <mergeCell ref="A26:B26"/>
    <mergeCell ref="A27:B27"/>
    <mergeCell ref="A28:B28"/>
    <mergeCell ref="A30:B30"/>
  </mergeCells>
  <dataValidations count="2">
    <dataValidation type="list" allowBlank="1" showInputMessage="1" showErrorMessage="1" sqref="C5">
      <formula1>"főállású vállalkozó, 36 órás munkaviszony / tanulmányok mellett, nyugdíjas"</formula1>
    </dataValidation>
    <dataValidation type="list" allowBlank="1" showInputMessage="1" showErrorMessage="1" sqref="C6">
      <formula1>"igen, nem"</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Átalányadózás</vt:lpstr>
      <vt:lpstr>Általános szabályok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Asztalos Zsuzsa</dc:creator>
  <cp:lastModifiedBy>Nobilis Benedek Emánuel</cp:lastModifiedBy>
  <dcterms:created xsi:type="dcterms:W3CDTF">2022-07-12T11:00:05Z</dcterms:created>
  <dcterms:modified xsi:type="dcterms:W3CDTF">2023-03-17T08:56:53Z</dcterms:modified>
</cp:coreProperties>
</file>